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 Review" sheetId="1" state="visible" r:id="rId1"/>
    <sheet xmlns:r="http://schemas.openxmlformats.org/officeDocument/2006/relationships" name="Owner Charts" sheetId="2" state="visible" r:id="rId2"/>
    <sheet xmlns:r="http://schemas.openxmlformats.org/officeDocument/2006/relationships" name="2027 Detail" sheetId="3" state="visible" r:id="rId3"/>
    <sheet xmlns:r="http://schemas.openxmlformats.org/officeDocument/2006/relationships" name="Assumptions" sheetId="4" state="visible" r:id="rId4"/>
    <sheet xmlns:r="http://schemas.openxmlformats.org/officeDocument/2006/relationships" name="Assessment scenarios" sheetId="5" state="visible" r:id="rId5"/>
  </sheets>
  <definedNames>
    <definedName name="_xlnm._FilterDatabase" localSheetId="2" hidden="1">'2027 Detail'!$A$3:$H$47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#,##0.00;[Red](#,##0.00)"/>
    <numFmt numFmtId="165" formatCode="$#,##0.00"/>
    <numFmt numFmtId="166" formatCode="$#,##0;[Red]($#,##0);-"/>
    <numFmt numFmtId="167" formatCode="$#,##0.00;[Red]($#,##0.00);-"/>
    <numFmt numFmtId="168" formatCode="0.0%"/>
    <numFmt numFmtId="169" formatCode="$#,##0"/>
  </numFmts>
  <fonts count="14">
    <font>
      <name val="Calibri"/>
      <family val="2"/>
      <color theme="1"/>
      <sz val="11"/>
      <scheme val="minor"/>
    </font>
    <font>
      <b val="1"/>
      <color rgb="00FFFFFF"/>
    </font>
    <font>
      <b val="1"/>
      <color rgb="00143550"/>
    </font>
    <font>
      <b val="1"/>
    </font>
    <font>
      <name val="Aptos"/>
      <b val="1"/>
      <color rgb="00143D52"/>
    </font>
    <font>
      <b val="1"/>
      <color rgb="000000FF"/>
    </font>
    <font>
      <color rgb="00000000"/>
    </font>
    <font>
      <b val="1"/>
      <color rgb="0017324B"/>
    </font>
    <font>
      <color rgb="000000FF"/>
    </font>
    <font>
      <b val="1"/>
      <color rgb="00FFFFFF"/>
      <sz val="15"/>
    </font>
    <font>
      <b val="1"/>
      <color rgb="00FFFFFF"/>
      <sz val="17"/>
    </font>
    <font>
      <i val="1"/>
      <color rgb="00626F7B"/>
    </font>
    <font>
      <b val="1"/>
      <color rgb="009C4F19"/>
    </font>
    <font>
      <b val="1"/>
      <color rgb="00FFFFFF"/>
      <sz val="13"/>
    </font>
  </fonts>
  <fills count="14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1F5F9"/>
      </patternFill>
    </fill>
    <fill>
      <patternFill patternType="solid">
        <fgColor rgb="00E8F2F7"/>
      </patternFill>
    </fill>
    <fill>
      <patternFill patternType="solid">
        <fgColor rgb="00FFF2B2"/>
      </patternFill>
    </fill>
    <fill>
      <patternFill patternType="solid">
        <fgColor rgb="00DCEFEB"/>
      </patternFill>
    </fill>
    <fill>
      <patternFill patternType="solid">
        <fgColor rgb="00162C42"/>
      </patternFill>
    </fill>
    <fill>
      <patternFill patternType="solid">
        <fgColor rgb="00DDEAEF"/>
      </patternFill>
    </fill>
    <fill>
      <patternFill patternType="solid">
        <fgColor rgb="00E8F5F4"/>
      </patternFill>
    </fill>
    <fill>
      <patternFill patternType="solid">
        <fgColor rgb="001A3553"/>
      </patternFill>
    </fill>
    <fill>
      <patternFill patternType="solid">
        <fgColor rgb="0032607B"/>
      </patternFill>
    </fill>
    <fill>
      <patternFill patternType="solid">
        <fgColor rgb="00193A55"/>
      </patternFill>
    </fill>
    <fill>
      <patternFill patternType="solid">
        <fgColor rgb="00FFF2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4" fillId="4" borderId="0" pivotButton="0" quotePrefix="0" xfId="0"/>
    <xf numFmtId="165" fontId="4" fillId="4" borderId="0" pivotButton="0" quotePrefix="0" xfId="0"/>
    <xf numFmtId="166" fontId="0" fillId="3" borderId="0" pivotButton="0" quotePrefix="0" xfId="0"/>
    <xf numFmtId="166" fontId="6" fillId="3" borderId="0" pivotButton="0" quotePrefix="0" xfId="0"/>
    <xf numFmtId="166" fontId="0" fillId="0" borderId="0" pivotButton="0" quotePrefix="0" xfId="0"/>
    <xf numFmtId="166" fontId="6" fillId="0" borderId="0" pivotButton="0" quotePrefix="0" xfId="0"/>
    <xf numFmtId="0" fontId="7" fillId="6" borderId="0" pivotButton="0" quotePrefix="0" xfId="0"/>
    <xf numFmtId="166" fontId="7" fillId="6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7" fontId="7" fillId="6" borderId="0" pivotButton="0" quotePrefix="0" xfId="0"/>
    <xf numFmtId="166" fontId="4" fillId="4" borderId="0" pivotButton="0" quotePrefix="0" xfId="0"/>
    <xf numFmtId="168" fontId="5" fillId="5" borderId="0" pivotButton="0" quotePrefix="0" xfId="0"/>
    <xf numFmtId="166" fontId="5" fillId="5" borderId="0" pivotButton="0" quotePrefix="0" xfId="0"/>
    <xf numFmtId="166" fontId="0" fillId="3" borderId="0" pivotButton="0" quotePrefix="0" xfId="0"/>
    <xf numFmtId="166" fontId="6" fillId="3" borderId="0" pivotButton="0" quotePrefix="0" xfId="0"/>
    <xf numFmtId="166" fontId="0" fillId="0" borderId="0" pivotButton="0" quotePrefix="0" xfId="0"/>
    <xf numFmtId="166" fontId="6" fillId="0" borderId="0" pivotButton="0" quotePrefix="0" xfId="0"/>
    <xf numFmtId="166" fontId="7" fillId="6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7" fontId="7" fillId="6" borderId="0" pivotButton="0" quotePrefix="0" xfId="0"/>
    <xf numFmtId="166" fontId="4" fillId="4" borderId="0" pivotButton="0" quotePrefix="0" xfId="0"/>
    <xf numFmtId="168" fontId="5" fillId="5" borderId="0" pivotButton="0" quotePrefix="0" xfId="0"/>
    <xf numFmtId="166" fontId="5" fillId="5" borderId="0" pivotButton="0" quotePrefix="0" xfId="0"/>
    <xf numFmtId="0" fontId="8" fillId="0" borderId="0" pivotButton="0" quotePrefix="0" xfId="0"/>
    <xf numFmtId="0" fontId="9" fillId="7" borderId="0" pivotButton="0" quotePrefix="0" xfId="0"/>
    <xf numFmtId="0" fontId="3" fillId="8" borderId="0" pivotButton="0" quotePrefix="0" xfId="0"/>
    <xf numFmtId="1" fontId="0" fillId="0" borderId="0" pivotButton="0" quotePrefix="0" xfId="0"/>
    <xf numFmtId="167" fontId="0" fillId="0" borderId="0" pivotButton="0" quotePrefix="0" xfId="0"/>
    <xf numFmtId="0" fontId="0" fillId="9" borderId="0" pivotButton="0" quotePrefix="0" xfId="0"/>
    <xf numFmtId="167" fontId="0" fillId="9" borderId="0" pivotButton="0" quotePrefix="0" xfId="0"/>
    <xf numFmtId="0" fontId="10" fillId="10" borderId="0" pivotButton="0" quotePrefix="0" xfId="0"/>
    <xf numFmtId="0" fontId="11" fillId="0" borderId="0" pivotButton="0" quotePrefix="0" xfId="0"/>
    <xf numFmtId="0" fontId="1" fillId="11" borderId="0" pivotButton="0" quotePrefix="0" xfId="0"/>
    <xf numFmtId="0" fontId="12" fillId="0" borderId="0" applyAlignment="1" pivotButton="0" quotePrefix="0" xfId="0">
      <alignment wrapText="1"/>
    </xf>
    <xf numFmtId="0" fontId="13" fillId="12" borderId="0" pivotButton="0" quotePrefix="0" xfId="0"/>
    <xf numFmtId="0" fontId="13" fillId="1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9" fontId="0" fillId="0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center" wrapText="1"/>
    </xf>
    <xf numFmtId="0" fontId="0" fillId="13" borderId="0" pivotButton="0" quotePrefix="0" xfId="0"/>
    <xf numFmtId="0" fontId="0" fillId="1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Regular Cantrice dues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'Owner Charts'!B4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'Owner Charts'!$A$5:$A$7</f>
            </numRef>
          </cat>
          <val>
            <numRef>
              <f>'Owner Charts'!$B$5:$B$7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Monthly dues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2027 annual budget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'Owner Charts'!B10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'Owner Charts'!$A$11:$A$17</f>
            </numRef>
          </cat>
          <val>
            <numRef>
              <f>'Owner Charts'!$B$11:$B$17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Budget analysis</author>
    <author>Budget model</author>
  </authors>
  <commentList>
    <comment ref="F4" authorId="0" shapeId="0">
      <text>
        <t>Proposed judgment based on Cantrice 2026 budget and September 2026 YTD financial package; see basis column.</t>
      </text>
    </comment>
    <comment ref="F5" authorId="0" shapeId="0">
      <text>
        <t>Proposed judgment based on Cantrice 2026 budget and September 2026 YTD financial package; see basis column.</t>
      </text>
    </comment>
    <comment ref="F6" authorId="0" shapeId="0">
      <text>
        <t>Proposed judgment based on Cantrice 2026 budget and September 2026 YTD financial package; see basis column.</t>
      </text>
    </comment>
    <comment ref="F7" authorId="1" shapeId="0">
      <text>
        <t>2027 proposed $10,000 ordinary legal/compliance allocation requested by owner. 2026 actual through Sep $28,356.92.</t>
      </text>
    </comment>
    <comment ref="F8" authorId="0" shapeId="0">
      <text>
        <t>Proposed judgment based on Cantrice 2026 budget and September 2026 YTD financial package; see basis column.</t>
      </text>
    </comment>
    <comment ref="F9" authorId="0" shapeId="0">
      <text>
        <t>Proposed judgment based on Cantrice 2026 budget and September 2026 YTD financial package; see basis column.</t>
      </text>
    </comment>
    <comment ref="F10" authorId="0" shapeId="0">
      <text>
        <t>Proposed judgment based on Cantrice 2026 budget and September 2026 YTD financial package; see basis column.</t>
      </text>
    </comment>
    <comment ref="F11" authorId="0" shapeId="0">
      <text>
        <t>Proposed judgment based on Cantrice 2026 budget and September 2026 YTD financial package; see basis column.</t>
      </text>
    </comment>
    <comment ref="F12" authorId="0" shapeId="0">
      <text>
        <t>Proposed judgment based on Cantrice 2026 budget and September 2026 YTD financial package; see basis column.</t>
      </text>
    </comment>
    <comment ref="F13" authorId="0" shapeId="0">
      <text>
        <t>Proposed judgment based on Cantrice 2026 budget and September 2026 YTD financial package; see basis column.</t>
      </text>
    </comment>
    <comment ref="F14" authorId="0" shapeId="0">
      <text>
        <t>Proposed judgment based on Cantrice 2026 budget and September 2026 YTD financial package; see basis column.</t>
      </text>
    </comment>
    <comment ref="F15" authorId="0" shapeId="0">
      <text>
        <t>Proposed judgment based on Cantrice 2026 budget and September 2026 YTD financial package; see basis column.</t>
      </text>
    </comment>
    <comment ref="F16" authorId="0" shapeId="0">
      <text>
        <t>Proposed judgment based on Cantrice 2026 budget and September 2026 YTD financial package; see basis column.</t>
      </text>
    </comment>
    <comment ref="F17" authorId="0" shapeId="0">
      <text>
        <t>Proposed judgment based on Cantrice 2026 budget and September 2026 YTD financial package; see basis column.</t>
      </text>
    </comment>
    <comment ref="F18" authorId="0" shapeId="0">
      <text>
        <t>Proposed judgment based on Cantrice 2026 budget and September 2026 YTD financial package; see basis column.</t>
      </text>
    </comment>
    <comment ref="F19" authorId="0" shapeId="0">
      <text>
        <t>Proposed judgment based on Cantrice 2026 budget and September 2026 YTD financial package; see basis column.</t>
      </text>
    </comment>
    <comment ref="F20" authorId="0" shapeId="0">
      <text>
        <t>Proposed judgment based on Cantrice 2026 budget and September 2026 YTD financial package; see basis column.</t>
      </text>
    </comment>
    <comment ref="F21" authorId="0" shapeId="0">
      <text>
        <t>Proposed judgment based on Cantrice 2026 budget and September 2026 YTD financial package; see basis column.</t>
      </text>
    </comment>
    <comment ref="F22" authorId="0" shapeId="0">
      <text>
        <t>Proposed judgment based on Cantrice 2026 budget and September 2026 YTD financial package; see basis column.</t>
      </text>
    </comment>
    <comment ref="F23" authorId="0" shapeId="0">
      <text>
        <t>Proposed judgment based on Cantrice 2026 budget and September 2026 YTD financial package; see basis column.</t>
      </text>
    </comment>
    <comment ref="F24" authorId="0" shapeId="0">
      <text>
        <t>Proposed judgment based on Cantrice 2026 budget and September 2026 YTD financial package; see basis column.</t>
      </text>
    </comment>
    <comment ref="F25" authorId="0" shapeId="0">
      <text>
        <t>Proposed judgment based on Cantrice 2026 budget and September 2026 YTD financial package; see basis column.</t>
      </text>
    </comment>
    <comment ref="F26" authorId="0" shapeId="0">
      <text>
        <t>Proposed judgment based on Cantrice 2026 budget and September 2026 YTD financial package; see basis column.</t>
      </text>
    </comment>
    <comment ref="F27" authorId="0" shapeId="0">
      <text>
        <t>Proposed judgment based on Cantrice 2026 budget and September 2026 YTD financial package; see basis column.</t>
      </text>
    </comment>
    <comment ref="F28" authorId="0" shapeId="0">
      <text>
        <t>Proposed judgment based on Cantrice 2026 budget and September 2026 YTD financial package; see basis column.</t>
      </text>
    </comment>
    <comment ref="F29" authorId="0" shapeId="0">
      <text>
        <t>Proposed judgment based on Cantrice 2026 budget and September 2026 YTD financial package; see basis column.</t>
      </text>
    </comment>
    <comment ref="F30" authorId="0" shapeId="0">
      <text>
        <t>Proposed judgment based on Cantrice 2026 budget and September 2026 YTD financial package; see basis column.</t>
      </text>
    </comment>
    <comment ref="F31" authorId="0" shapeId="0">
      <text>
        <t>Proposed judgment based on Cantrice 2026 budget and September 2026 YTD financial package; see basis column.</t>
      </text>
    </comment>
    <comment ref="F32" authorId="0" shapeId="0">
      <text>
        <t>Proposed judgment based on Cantrice 2026 budget and September 2026 YTD financial package; see basis column.</t>
      </text>
    </comment>
    <comment ref="F33" authorId="0" shapeId="0">
      <text>
        <t>Proposed judgment based on Cantrice 2026 budget and September 2026 YTD financial package; see basis column.</t>
      </text>
    </comment>
    <comment ref="F34" authorId="0" shapeId="0">
      <text>
        <t>Proposed judgment based on Cantrice 2026 budget and September 2026 YTD financial package; see basis column.</t>
      </text>
    </comment>
    <comment ref="F35" authorId="0" shapeId="0">
      <text>
        <t>Proposed judgment based on Cantrice 2026 budget and September 2026 YTD financial package; see basis column.</t>
      </text>
    </comment>
    <comment ref="F36" authorId="0" shapeId="0">
      <text>
        <t>Proposed judgment based on Cantrice 2026 budget and September 2026 YTD financial package; see basis column.</t>
      </text>
    </comment>
    <comment ref="F37" authorId="0" shapeId="0">
      <text>
        <t>Proposed judgment based on Cantrice 2026 budget and September 2026 YTD financial package; see basis column.</t>
      </text>
    </comment>
    <comment ref="F38" authorId="0" shapeId="0">
      <text>
        <t>Proposed judgment based on Cantrice 2026 budget and September 2026 YTD financial package; see basis column.</t>
      </text>
    </comment>
    <comment ref="F39" authorId="0" shapeId="0">
      <text>
        <t>Proposed judgment based on Cantrice 2026 budget and September 2026 YTD financial package; see basis column.</t>
      </text>
    </comment>
    <comment ref="F40" authorId="0" shapeId="0">
      <text>
        <t>Proposed judgment based on Cantrice 2026 budget and September 2026 YTD financial package; see basis column.</t>
      </text>
    </comment>
    <comment ref="F41" authorId="0" shapeId="0">
      <text>
        <t>Proposed judgment based on Cantrice 2026 budget and September 2026 YTD financial package; see basis column.</t>
      </text>
    </comment>
    <comment ref="F42" authorId="0" shapeId="0">
      <text>
        <t>Proposed judgment based on Cantrice 2026 budget and September 2026 YTD financial package; see basis column.</t>
      </text>
    </comment>
    <comment ref="F43" authorId="0" shapeId="0">
      <text>
        <t>Proposed judgment based on Cantrice 2026 budget and September 2026 YTD financial package; see basis column.</t>
      </text>
    </comment>
    <comment ref="F44" authorId="0" shapeId="0">
      <text>
        <t>Proposed judgment based on Cantrice 2026 budget and September 2026 YTD financial package; see basis column.</t>
      </text>
    </comment>
    <comment ref="F45" authorId="0" shapeId="0">
      <text>
        <t>Proposed judgment based on Cantrice 2026 budget and September 2026 YTD financial package; see basis column.</t>
      </text>
    </comment>
    <comment ref="F46" authorId="0" shapeId="0">
      <text>
        <t>Proposed judgment based on Cantrice 2026 budget and September 2026 YTD financial package; see basis column.</t>
      </text>
    </comment>
    <comment ref="F47" authorId="0" shapeId="0">
      <text>
        <t>Proposed judgment based on Cantrice 2026 budget and September 2026 YTD financial package; see basis column.</t>
      </text>
    </comment>
    <comment ref="F52" authorId="1" shapeId="0">
      <text>
        <t>User confirms Helix needed. $38,000 is modeled incremental; confirm actual billed premium and whether expense is already in any 2026 general insurance ledger.</t>
      </text>
    </comment>
  </commentList>
</comments>
</file>

<file path=xl/comments/comment2.xml><?xml version="1.0" encoding="utf-8"?>
<comments xmlns="http://schemas.openxmlformats.org/spreadsheetml/2006/main">
  <authors>
    <author>Source</author>
  </authors>
  <commentList>
    <comment ref="B3" authorId="0" shapeId="0">
      <text>
        <t>2026 budget: annual regular assessment income $613,872 = $51,156/month = 98 homes x $522. Sept 2026 reserve SA income $2,450/month = 98 x $25. Source: 4084408_09 Owner Financials(1).pdf pp 3,5.</t>
      </text>
    </comment>
    <comment ref="B20" authorId="0" shapeId="0">
      <text>
        <t>Illustrative $120,000 annual contribution matches 2026 reserve specialist recommendation only in its original financing scenario, which included an approximately $2.5m special assessment or loan. It is NOT a validated 2027 recommendation with a $1.6m infusion. Source: 2026 budget package p.15.</t>
      </text>
    </comment>
    <comment ref="B30" authorId="0" shapeId="0">
      <text>
        <t>User-proposed compromise scenario; not approved</t>
      </text>
    </comment>
    <comment ref="B31" authorId="0" shapeId="0">
      <text>
        <t>Approved assessment amount established in Cantrice Court dispute records</t>
      </text>
    </comment>
    <comment ref="B32" authorId="0" shapeId="0">
      <text>
        <t>User-reported board-approved contract approx $1.4m; contract not supplied</t>
      </text>
    </comment>
    <comment ref="B33" authorId="0" shapeId="0">
      <text>
        <t>2026 reserve study executive summary (2026 budget package p.15)</t>
      </text>
    </comment>
  </commentList>
</comments>
</file>

<file path=xl/comments/comment3.xml><?xml version="1.0" encoding="utf-8"?>
<comments xmlns="http://schemas.openxmlformats.org/spreadsheetml/2006/main">
  <authors>
    <author>Source</author>
  </authors>
  <commentList>
    <comment ref="B12" authorId="0" shapeId="0">
      <text>
        <t>2026 reserve executive summary recommends approx $10k per month coupled with $2.5m capital financing. Reference: 20260101 CC Budget.pdf, p.15.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648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13" customWidth="1" min="2" max="2"/>
  </cols>
  <sheetData>
    <row r="1" ht="25" customHeight="1">
      <c r="A1" s="44" t="inlineStr">
        <is>
          <t>BOARD SUBMISSION - MODEL STATUS</t>
        </is>
      </c>
      <c r="B1" s="45" t="inlineStr">
        <is>
          <t>Independent planning model; NOT certified 2027 Association budget</t>
        </is>
      </c>
    </row>
    <row r="2" ht="25" customHeight="1">
      <c r="A2" t="inlineStr">
        <is>
          <t>Unit count</t>
        </is>
      </c>
      <c r="B2" s="46">
        <f>Assumptions!B2</f>
        <v/>
      </c>
    </row>
    <row r="3" ht="25" customHeight="1">
      <c r="A3" t="inlineStr">
        <is>
          <t>2026 regular dues</t>
        </is>
      </c>
      <c r="B3" s="47">
        <f>Assumptions!B3</f>
        <v/>
      </c>
    </row>
    <row r="4" ht="25" customHeight="1">
      <c r="A4" t="inlineStr">
        <is>
          <t>2027 proposed budget</t>
        </is>
      </c>
      <c r="B4" s="48">
        <f>'2027 Detail'!F53</f>
        <v/>
      </c>
    </row>
    <row r="5" ht="25" customHeight="1">
      <c r="A5" t="inlineStr">
        <is>
          <t>2027 regular dues / month</t>
        </is>
      </c>
      <c r="B5" s="47">
        <f>'2027 Detail'!F59</f>
        <v/>
      </c>
    </row>
    <row r="6" ht="25" customHeight="1">
      <c r="A6" t="inlineStr">
        <is>
          <t>2027 annual collections</t>
        </is>
      </c>
      <c r="B6" s="48">
        <f>'2027 Detail'!F60</f>
        <v/>
      </c>
    </row>
    <row r="7" ht="25" customHeight="1">
      <c r="A7" t="inlineStr">
        <is>
          <t>2027 calculated buffer</t>
        </is>
      </c>
      <c r="B7" s="48">
        <f>'2027 Detail'!F61</f>
        <v/>
      </c>
    </row>
    <row r="8" ht="25" customHeight="1">
      <c r="A8" t="inlineStr">
        <is>
          <t>2027 provisional reserves</t>
        </is>
      </c>
      <c r="B8" s="48">
        <f>Assumptions!B20</f>
        <v/>
      </c>
    </row>
    <row r="9" ht="25" customHeight="1">
      <c r="A9" t="inlineStr">
        <is>
          <t>2027 with pre-existing reserves</t>
        </is>
      </c>
      <c r="B9" s="47">
        <f>'2027 Detail'!F62</f>
        <v/>
      </c>
    </row>
    <row r="10" ht="30" customHeight="1">
      <c r="A10" s="49" t="inlineStr">
        <is>
          <t>SA compromise status</t>
        </is>
      </c>
      <c r="B10" s="50" t="inlineStr">
        <is>
          <t>$1.6m proposed; $1,999,999.60 approved (no Board reduction yet)</t>
        </is>
      </c>
    </row>
    <row r="11" ht="30" customHeight="1">
      <c r="A11" s="49" t="inlineStr">
        <is>
          <t>Priority #1</t>
        </is>
      </c>
      <c r="B11" s="50" t="inlineStr">
        <is>
          <t>Updated reserve study after roofing, including $1.6m rather than $2.5m modeled financing</t>
        </is>
      </c>
    </row>
    <row r="12" ht="30" customHeight="1">
      <c r="A12" s="49" t="inlineStr">
        <is>
          <t>Priority #2</t>
        </is>
      </c>
      <c r="B12" s="50" t="inlineStr">
        <is>
          <t>Insurance binders and Helix invoice; verify no double counting</t>
        </is>
      </c>
    </row>
    <row r="13" ht="30" customHeight="1">
      <c r="A13" s="49" t="inlineStr">
        <is>
          <t>Priority #3</t>
        </is>
      </c>
      <c r="B13" s="50" t="inlineStr">
        <is>
          <t>Actual signed roofing agreement, full scope, contingency, debt and interest</t>
        </is>
      </c>
    </row>
    <row r="14" ht="30" customHeight="1">
      <c r="A14" s="49" t="inlineStr">
        <is>
          <t>Priority #4</t>
        </is>
      </c>
      <c r="B14" s="50" t="inlineStr">
        <is>
          <t>Ordinary $10k legal excludes active/potential litigation; obtain realistic estimate</t>
        </is>
      </c>
    </row>
    <row r="15" ht="30" customHeight="1">
      <c r="A15" s="49" t="inlineStr">
        <is>
          <t>Priority #5</t>
        </is>
      </c>
      <c r="B15" s="50" t="inlineStr">
        <is>
          <t>Identify expense reductions below 2026 year-to-date, especially trees, gate and lighting</t>
        </is>
      </c>
    </row>
    <row r="16" ht="30" customHeight="1">
      <c r="A16" t="inlineStr">
        <is>
          <t>Planning assumptions</t>
        </is>
      </c>
      <c r="B16" s="46" t="inlineStr">
        <is>
          <t>Vendor 3%, utilities 5%, insurance 8%: NOT firm 2027 quotes</t>
        </is>
      </c>
    </row>
    <row r="17" ht="30" customHeight="1">
      <c r="A17" t="inlineStr">
        <is>
          <t>Model update rule</t>
        </is>
      </c>
      <c r="B17" s="46" t="inlineStr">
        <is>
          <t>Change Assumptions and Detail inputs; linked charts recalculate in Excel</t>
        </is>
      </c>
    </row>
    <row r="18" ht="30" customHeight="1">
      <c r="A18" s="49" t="inlineStr">
        <is>
          <t>Not a financial audit</t>
        </is>
      </c>
      <c r="B18" s="50" t="inlineStr">
        <is>
          <t>Arithmetic cross-checked against budget and September reports; no independent verification of vendor contracts or liabilities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41" customWidth="1" min="1" max="1"/>
    <col width="22" customWidth="1" min="2" max="2"/>
    <col width="72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2" customHeight="1">
      <c r="A1" s="40" t="inlineStr">
        <is>
          <t>CANTRICE COURT | 2027 BUDGET AT A GLANCE</t>
        </is>
      </c>
    </row>
    <row r="2">
      <c r="A2" s="41" t="inlineStr">
        <is>
          <t>Conditional homeowner proposal | 98 units | excludes Master HOA and roofing assessment payments</t>
        </is>
      </c>
    </row>
    <row r="4">
      <c r="A4" s="42" t="inlineStr">
        <is>
          <t>Comparison</t>
        </is>
      </c>
      <c r="B4" s="42" t="inlineStr">
        <is>
          <t>Monthly dues ($)</t>
        </is>
      </c>
      <c r="C4" s="42" t="inlineStr">
        <is>
          <t>Note</t>
        </is>
      </c>
    </row>
    <row r="5">
      <c r="A5" t="inlineStr">
        <is>
          <t>2026 regular dues only</t>
        </is>
      </c>
      <c r="B5">
        <f>Assumptions!B3</f>
        <v/>
      </c>
      <c r="C5" t="inlineStr">
        <is>
          <t>2026 98 x $522 regular + separately recorded 98 x $25 older SA = $547 combined payment</t>
        </is>
      </c>
    </row>
    <row r="6">
      <c r="A6" t="inlineStr">
        <is>
          <t>2027 conditional target</t>
        </is>
      </c>
      <c r="B6">
        <f>'2027 Detail'!F59</f>
        <v/>
      </c>
      <c r="C6" t="inlineStr">
        <is>
          <t>Requires reserve study validation</t>
        </is>
      </c>
    </row>
    <row r="7">
      <c r="A7" t="inlineStr">
        <is>
          <t>2027 if 2026 reserve funding retained</t>
        </is>
      </c>
      <c r="B7">
        <f>'2027 Detail'!F62</f>
        <v/>
      </c>
      <c r="C7" t="inlineStr">
        <is>
          <t>Alternative; approximately $581/month</t>
        </is>
      </c>
    </row>
    <row r="10">
      <c r="A10" t="inlineStr">
        <is>
          <t>2027 category</t>
        </is>
      </c>
      <c r="B10" t="inlineStr">
        <is>
          <t>Budget ($/year)</t>
        </is>
      </c>
    </row>
    <row r="11">
      <c r="A11" t="inlineStr">
        <is>
          <t>Administration + existing insurance</t>
        </is>
      </c>
      <c r="B11">
        <f>SUM('2027 Detail'!F4:F18)</f>
        <v/>
      </c>
    </row>
    <row r="12">
      <c r="A12" t="inlineStr">
        <is>
          <t>Utilities</t>
        </is>
      </c>
      <c r="B12">
        <f>SUM('2027 Detail'!F19:F23)</f>
        <v/>
      </c>
    </row>
    <row r="13">
      <c r="A13" t="inlineStr">
        <is>
          <t>General maintenance</t>
        </is>
      </c>
      <c r="B13">
        <f>SUM('2027 Detail'!F24:F41)</f>
        <v/>
      </c>
    </row>
    <row r="14">
      <c r="A14" t="inlineStr">
        <is>
          <t>Landscape</t>
        </is>
      </c>
      <c r="B14">
        <f>SUM('2027 Detail'!F42:F45)</f>
        <v/>
      </c>
    </row>
    <row r="15">
      <c r="A15" t="inlineStr">
        <is>
          <t>Pool/spa</t>
        </is>
      </c>
      <c r="B15">
        <f>'2027 Detail'!F46</f>
        <v/>
      </c>
    </row>
    <row r="16">
      <c r="A16" t="inlineStr">
        <is>
          <t>Helix excess coverage</t>
        </is>
      </c>
      <c r="B16">
        <f>'2027 Detail'!F52</f>
        <v/>
      </c>
    </row>
    <row r="17">
      <c r="A17" t="inlineStr">
        <is>
          <t>Provisional reserves</t>
        </is>
      </c>
      <c r="B17">
        <f>'2027 Detail'!F47</f>
        <v/>
      </c>
    </row>
    <row r="18">
      <c r="A18" t="inlineStr">
        <is>
          <t>2027 total</t>
        </is>
      </c>
      <c r="B18">
        <f>SUM(B11:B17)</f>
        <v/>
      </c>
    </row>
    <row r="20">
      <c r="A20" t="inlineStr">
        <is>
          <t>Assessment compromise</t>
        </is>
      </c>
      <c r="B20">
        <f>Assumptions!B30</f>
        <v/>
      </c>
    </row>
    <row r="21">
      <c r="A21" t="inlineStr">
        <is>
          <t>Approved assessment</t>
        </is>
      </c>
      <c r="B21">
        <f>Assumptions!B31</f>
        <v/>
      </c>
    </row>
    <row r="22">
      <c r="A22" t="inlineStr">
        <is>
          <t>Potential reduction per unit</t>
        </is>
      </c>
      <c r="B22">
        <f>(B21-B20)/Assumptions!B2</f>
        <v/>
      </c>
    </row>
    <row r="24" ht="29" customHeight="1">
      <c r="A24" s="43" t="inlineStr">
        <is>
          <t>2026 RECONCILED: $51,156/month = 98 x $522 regular dues. Separately, $2,450 = 98 x $25 older SA; combined $547.</t>
        </is>
      </c>
    </row>
    <row r="25" ht="29" customHeight="1">
      <c r="A25" t="inlineStr">
        <is>
          <t>MODEL CAUTION: 2027 $519 contingent on reserve study, insurance renewals, litigation financing. The underlying $1.6m proposed assessment is not approved.</t>
        </is>
      </c>
    </row>
  </sheetData>
  <mergeCells count="4">
    <mergeCell ref="A25:H25"/>
    <mergeCell ref="A24:H24"/>
    <mergeCell ref="A2:H2"/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61" customWidth="1" min="3" max="3"/>
    <col width="18" customWidth="1" min="4" max="4"/>
    <col width="22" customWidth="1" min="5" max="5"/>
    <col width="19" customWidth="1" min="6" max="6"/>
    <col width="17" customWidth="1" min="7" max="7"/>
    <col width="75" customWidth="1" min="8" max="8"/>
  </cols>
  <sheetData>
    <row r="1">
      <c r="A1" t="inlineStr">
        <is>
          <t>CANTRICE COURT | 2027 OWNER ALTERNATIVE | CONDITIONAL $1.6M ASSESSMENT</t>
        </is>
      </c>
    </row>
    <row r="2">
      <c r="A2" t="inlineStr">
        <is>
          <t>Inflation-adjusted operating costs; $10k legal; Helix; $120k provisional reserve; $1.6m assessment NOT yet approved</t>
        </is>
      </c>
    </row>
    <row r="3">
      <c r="A3" s="1" t="inlineStr">
        <is>
          <t>Section</t>
        </is>
      </c>
      <c r="B3" s="1" t="inlineStr">
        <is>
          <t>Code</t>
        </is>
      </c>
      <c r="C3" s="1" t="inlineStr">
        <is>
          <t>Budget item</t>
        </is>
      </c>
      <c r="D3" s="1" t="inlineStr">
        <is>
          <t>2026 approved</t>
        </is>
      </c>
      <c r="E3" s="1" t="inlineStr">
        <is>
          <t>2026 Jan-Sep actual</t>
        </is>
      </c>
      <c r="F3" s="1" t="inlineStr">
        <is>
          <t>2027 proposed</t>
        </is>
      </c>
      <c r="G3" s="1" t="inlineStr">
        <is>
          <t>Delta vs 2026</t>
        </is>
      </c>
      <c r="H3" s="1" t="inlineStr">
        <is>
          <t>Basis / caveat</t>
        </is>
      </c>
    </row>
    <row r="4">
      <c r="A4" s="2" t="inlineStr">
        <is>
          <t>Administration</t>
        </is>
      </c>
      <c r="B4" s="2" t="inlineStr">
        <is>
          <t>50050</t>
        </is>
      </c>
      <c r="C4" s="2" t="inlineStr">
        <is>
          <t>Management fees</t>
        </is>
      </c>
      <c r="D4" s="22" t="n">
        <v>25080</v>
      </c>
      <c r="E4" s="22" t="n">
        <v>18935</v>
      </c>
      <c r="F4" s="23">
        <f>ROUND(25080*(1+Assumptions!$B$16),0)</f>
        <v/>
      </c>
      <c r="G4" s="22">
        <f>F4-D4</f>
        <v/>
      </c>
      <c r="H4" s="2" t="inlineStr">
        <is>
          <t>2026 current vendor budget/run rate, 3% planning inflation</t>
        </is>
      </c>
    </row>
    <row r="5">
      <c r="A5" t="inlineStr">
        <is>
          <t>Administration</t>
        </is>
      </c>
      <c r="B5" t="inlineStr">
        <is>
          <t>50051</t>
        </is>
      </c>
      <c r="C5" t="inlineStr">
        <is>
          <t>Reproduction</t>
        </is>
      </c>
      <c r="D5" s="24" t="n">
        <v>1200</v>
      </c>
      <c r="E5" s="24" t="n">
        <v>0</v>
      </c>
      <c r="F5" s="25">
        <f>ROUND(300*(1+Assumptions!$B$16),0)</f>
        <v/>
      </c>
      <c r="G5" s="24">
        <f>F5-D5</f>
        <v/>
      </c>
      <c r="H5" t="inlineStr">
        <is>
          <t>2026 current vendor budget/run rate, 3% planning inflation</t>
        </is>
      </c>
    </row>
    <row r="6">
      <c r="A6" s="2" t="inlineStr">
        <is>
          <t>Administration</t>
        </is>
      </c>
      <c r="B6" s="2" t="inlineStr">
        <is>
          <t>51000</t>
        </is>
      </c>
      <c r="C6" s="2" t="inlineStr">
        <is>
          <t>Accounting, audit &amp; review</t>
        </is>
      </c>
      <c r="D6" s="22" t="n">
        <v>2500</v>
      </c>
      <c r="E6" s="22" t="n">
        <v>0</v>
      </c>
      <c r="F6" s="23">
        <f>ROUND(2500*(1+Assumptions!$B$16),0)</f>
        <v/>
      </c>
      <c r="G6" s="22">
        <f>F6-D6</f>
        <v/>
      </c>
      <c r="H6" s="2" t="inlineStr">
        <is>
          <t>2026 current vendor budget/run rate, 3% planning inflation</t>
        </is>
      </c>
    </row>
    <row r="7">
      <c r="A7" t="inlineStr">
        <is>
          <t>Administration</t>
        </is>
      </c>
      <c r="B7" t="inlineStr">
        <is>
          <t>51220</t>
        </is>
      </c>
      <c r="C7" t="inlineStr">
        <is>
          <t>Attorney/legal services</t>
        </is>
      </c>
      <c r="D7" s="24" t="n">
        <v>3600</v>
      </c>
      <c r="E7" s="24" t="n">
        <v>28356.92</v>
      </c>
      <c r="F7" s="25">
        <f>10000</f>
        <v/>
      </c>
      <c r="G7" s="24">
        <f>F7-D7</f>
        <v/>
      </c>
      <c r="H7" t="inlineStr">
        <is>
          <t>Legal/compliance fixed policy allocation; not litigation forecast</t>
        </is>
      </c>
    </row>
    <row r="8">
      <c r="A8" s="2" t="inlineStr">
        <is>
          <t>Administration</t>
        </is>
      </c>
      <c r="B8" s="2" t="inlineStr">
        <is>
          <t>51500</t>
        </is>
      </c>
      <c r="C8" s="2" t="inlineStr">
        <is>
          <t>Copies, postage &amp; envelopes</t>
        </is>
      </c>
      <c r="D8" s="22" t="n">
        <v>1200</v>
      </c>
      <c r="E8" s="22" t="n">
        <v>1660.62</v>
      </c>
      <c r="F8" s="23">
        <f>ROUND(2000*(1+Assumptions!$B$16),0)</f>
        <v/>
      </c>
      <c r="G8" s="22">
        <f>F8-D8</f>
        <v/>
      </c>
      <c r="H8" s="2" t="inlineStr">
        <is>
          <t>2026 current vendor budget/run rate, 3% planning inflation</t>
        </is>
      </c>
    </row>
    <row r="9">
      <c r="A9" t="inlineStr">
        <is>
          <t>Administration</t>
        </is>
      </c>
      <c r="B9" t="inlineStr">
        <is>
          <t>51600</t>
        </is>
      </c>
      <c r="C9" t="inlineStr">
        <is>
          <t>Misc administrative</t>
        </is>
      </c>
      <c r="D9" s="24" t="n">
        <v>0</v>
      </c>
      <c r="E9" s="24" t="n">
        <v>2673.55</v>
      </c>
      <c r="F9" s="25">
        <f>ROUND(1500*(1+Assumptions!$B$16),0)</f>
        <v/>
      </c>
      <c r="G9" s="24">
        <f>F9-D9</f>
        <v/>
      </c>
      <c r="H9" t="inlineStr">
        <is>
          <t>2026 current vendor budget/run rate, 3% planning inflation</t>
        </is>
      </c>
    </row>
    <row r="10">
      <c r="A10" s="2" t="inlineStr">
        <is>
          <t>Administration</t>
        </is>
      </c>
      <c r="B10" s="2" t="inlineStr">
        <is>
          <t>51610</t>
        </is>
      </c>
      <c r="C10" s="2" t="inlineStr">
        <is>
          <t>Bank charges</t>
        </is>
      </c>
      <c r="D10" s="22" t="n">
        <v>0</v>
      </c>
      <c r="E10" s="22" t="n">
        <v>55</v>
      </c>
      <c r="F10" s="23">
        <f>ROUND(100*(1+Assumptions!$B$16),0)</f>
        <v/>
      </c>
      <c r="G10" s="22">
        <f>F10-D10</f>
        <v/>
      </c>
      <c r="H10" s="2" t="inlineStr">
        <is>
          <t>2026 current vendor budget/run rate, 3% planning inflation</t>
        </is>
      </c>
    </row>
    <row r="11">
      <c r="A11" t="inlineStr">
        <is>
          <t>Administration</t>
        </is>
      </c>
      <c r="B11" t="inlineStr">
        <is>
          <t>52200</t>
        </is>
      </c>
      <c r="C11" t="inlineStr">
        <is>
          <t>Reserve study</t>
        </is>
      </c>
      <c r="D11" s="24" t="n">
        <v>1270</v>
      </c>
      <c r="E11" s="24" t="n">
        <v>0</v>
      </c>
      <c r="F11" s="25">
        <f>ROUND(1500*(1+Assumptions!$B$16),0)</f>
        <v/>
      </c>
      <c r="G11" s="24">
        <f>F11-D11</f>
        <v/>
      </c>
      <c r="H11" t="inlineStr">
        <is>
          <t>2026 current vendor budget/run rate, 3% planning inflation</t>
        </is>
      </c>
    </row>
    <row r="12">
      <c r="A12" s="2" t="inlineStr">
        <is>
          <t>Administration</t>
        </is>
      </c>
      <c r="B12" s="2" t="inlineStr">
        <is>
          <t>52250</t>
        </is>
      </c>
      <c r="C12" s="2" t="inlineStr">
        <is>
          <t>Annual event</t>
        </is>
      </c>
      <c r="D12" s="22" t="n">
        <v>2200</v>
      </c>
      <c r="E12" s="22" t="n">
        <v>0</v>
      </c>
      <c r="F12" s="23">
        <f>ROUND(0*(1+Assumptions!$B$16),0)</f>
        <v/>
      </c>
      <c r="G12" s="22">
        <f>F12-D12</f>
        <v/>
      </c>
      <c r="H12" s="2" t="inlineStr">
        <is>
          <t>2026 current vendor budget/run rate, 3% planning inflation</t>
        </is>
      </c>
    </row>
    <row r="13">
      <c r="A13" t="inlineStr">
        <is>
          <t>Administration</t>
        </is>
      </c>
      <c r="B13" t="inlineStr">
        <is>
          <t>55000</t>
        </is>
      </c>
      <c r="C13" t="inlineStr">
        <is>
          <t>General commercial package insurance</t>
        </is>
      </c>
      <c r="D13" s="24" t="n">
        <v>65000</v>
      </c>
      <c r="E13" s="24" t="n">
        <v>41117.39</v>
      </c>
      <c r="F13" s="25">
        <f>ROUND(55804*(1+Assumptions!$B$18),0)</f>
        <v/>
      </c>
      <c r="G13" s="24">
        <f>F13-D13</f>
        <v/>
      </c>
      <c r="H13" t="inlineStr">
        <is>
          <t>2026 booked/annualized premium with assumed 8% insurance renewal increase; verify quotes</t>
        </is>
      </c>
    </row>
    <row r="14">
      <c r="A14" s="2" t="inlineStr">
        <is>
          <t>Administration</t>
        </is>
      </c>
      <c r="B14" s="2" t="inlineStr">
        <is>
          <t>55300</t>
        </is>
      </c>
      <c r="C14" s="2" t="inlineStr">
        <is>
          <t>Umbrella insurance</t>
        </is>
      </c>
      <c r="D14" s="22" t="n">
        <v>1900</v>
      </c>
      <c r="E14" s="22" t="n">
        <v>1463.31</v>
      </c>
      <c r="F14" s="23">
        <f>ROUND(1951*(1+Assumptions!$B$18),0)</f>
        <v/>
      </c>
      <c r="G14" s="22">
        <f>F14-D14</f>
        <v/>
      </c>
      <c r="H14" s="2" t="inlineStr">
        <is>
          <t>2026 booked/annualized premium with assumed 8% insurance renewal increase; verify quotes</t>
        </is>
      </c>
    </row>
    <row r="15">
      <c r="A15" t="inlineStr">
        <is>
          <t>Administration</t>
        </is>
      </c>
      <c r="B15" t="inlineStr">
        <is>
          <t>55600</t>
        </is>
      </c>
      <c r="C15" t="inlineStr">
        <is>
          <t>D&amp;O insurance</t>
        </is>
      </c>
      <c r="D15" s="24" t="n">
        <v>2100</v>
      </c>
      <c r="E15" s="24" t="n">
        <v>1617.16</v>
      </c>
      <c r="F15" s="25">
        <f>ROUND(2211*(1+Assumptions!$B$18),0)</f>
        <v/>
      </c>
      <c r="G15" s="24">
        <f>F15-D15</f>
        <v/>
      </c>
      <c r="H15" t="inlineStr">
        <is>
          <t>2026 booked/annualized premium with assumed 8% insurance renewal increase; verify quotes</t>
        </is>
      </c>
    </row>
    <row r="16">
      <c r="A16" s="2" t="inlineStr">
        <is>
          <t>Administration</t>
        </is>
      </c>
      <c r="B16" s="2" t="inlineStr">
        <is>
          <t>55800</t>
        </is>
      </c>
      <c r="C16" s="2" t="inlineStr">
        <is>
          <t>Earthquake insurance</t>
        </is>
      </c>
      <c r="D16" s="22" t="n">
        <v>57267</v>
      </c>
      <c r="E16" s="22" t="n">
        <v>42957.72</v>
      </c>
      <c r="F16" s="23">
        <f>ROUND(57277*(1+Assumptions!$B$18),0)</f>
        <v/>
      </c>
      <c r="G16" s="22">
        <f>F16-D16</f>
        <v/>
      </c>
      <c r="H16" s="2" t="inlineStr">
        <is>
          <t>2026 booked/annualized premium with assumed 8% insurance renewal increase; verify quotes</t>
        </is>
      </c>
    </row>
    <row r="17">
      <c r="A17" t="inlineStr">
        <is>
          <t>Administration</t>
        </is>
      </c>
      <c r="B17" t="inlineStr">
        <is>
          <t>55955</t>
        </is>
      </c>
      <c r="C17" t="inlineStr">
        <is>
          <t>Fidelity insurance</t>
        </is>
      </c>
      <c r="D17" s="24" t="n">
        <v>1600</v>
      </c>
      <c r="E17" s="24" t="n">
        <v>1139.22</v>
      </c>
      <c r="F17" s="25">
        <f>ROUND(1519*(1+Assumptions!$B$18),0)</f>
        <v/>
      </c>
      <c r="G17" s="24">
        <f>F17-D17</f>
        <v/>
      </c>
      <c r="H17" t="inlineStr">
        <is>
          <t>2026 booked/annualized premium with assumed 8% insurance renewal increase; verify quotes</t>
        </is>
      </c>
    </row>
    <row r="18">
      <c r="A18" s="2" t="inlineStr">
        <is>
          <t>Administration</t>
        </is>
      </c>
      <c r="B18" s="2" t="inlineStr">
        <is>
          <t>55990</t>
        </is>
      </c>
      <c r="C18" s="2" t="inlineStr">
        <is>
          <t>Workers compensation</t>
        </is>
      </c>
      <c r="D18" s="22" t="n">
        <v>600</v>
      </c>
      <c r="E18" s="22" t="n">
        <v>275.94</v>
      </c>
      <c r="F18" s="23">
        <f>ROUND(368*(1+Assumptions!$B$18),0)</f>
        <v/>
      </c>
      <c r="G18" s="22">
        <f>F18-D18</f>
        <v/>
      </c>
      <c r="H18" s="2" t="inlineStr">
        <is>
          <t>2026 booked/annualized premium with assumed 8% insurance renewal increase; verify quotes</t>
        </is>
      </c>
    </row>
    <row r="19">
      <c r="A19" t="inlineStr">
        <is>
          <t>Utilities</t>
        </is>
      </c>
      <c r="B19" t="inlineStr">
        <is>
          <t>60100</t>
        </is>
      </c>
      <c r="C19" t="inlineStr">
        <is>
          <t>Electricity</t>
        </is>
      </c>
      <c r="D19" s="24" t="n">
        <v>12000</v>
      </c>
      <c r="E19" s="24" t="n">
        <v>10633.83</v>
      </c>
      <c r="F19" s="25">
        <f>ROUND(14400*(1+Assumptions!$B$17),0)</f>
        <v/>
      </c>
      <c r="G19" s="24">
        <f>F19-D19</f>
        <v/>
      </c>
      <c r="H19" t="inlineStr">
        <is>
          <t>2026 run rate with assumed 5% utility escalation</t>
        </is>
      </c>
    </row>
    <row r="20">
      <c r="A20" s="2" t="inlineStr">
        <is>
          <t>Utilities</t>
        </is>
      </c>
      <c r="B20" s="2" t="inlineStr">
        <is>
          <t>60200</t>
        </is>
      </c>
      <c r="C20" s="2" t="inlineStr">
        <is>
          <t>Gas</t>
        </is>
      </c>
      <c r="D20" s="22" t="n">
        <v>7516</v>
      </c>
      <c r="E20" s="22" t="n">
        <v>2713.99</v>
      </c>
      <c r="F20" s="23">
        <f>ROUND(5000*(1+Assumptions!$B$17),0)</f>
        <v/>
      </c>
      <c r="G20" s="22">
        <f>F20-D20</f>
        <v/>
      </c>
      <c r="H20" s="2" t="inlineStr">
        <is>
          <t>2026 run rate with assumed 5% utility escalation</t>
        </is>
      </c>
    </row>
    <row r="21">
      <c r="A21" t="inlineStr">
        <is>
          <t>Utilities</t>
        </is>
      </c>
      <c r="B21" t="inlineStr">
        <is>
          <t>62000</t>
        </is>
      </c>
      <c r="C21" t="inlineStr">
        <is>
          <t>Water</t>
        </is>
      </c>
      <c r="D21" s="24" t="n">
        <v>43000</v>
      </c>
      <c r="E21" s="24" t="n">
        <v>41241.9</v>
      </c>
      <c r="F21" s="25">
        <f>ROUND(56000*(1+Assumptions!$B$17),0)</f>
        <v/>
      </c>
      <c r="G21" s="24">
        <f>F21-D21</f>
        <v/>
      </c>
      <c r="H21" t="inlineStr">
        <is>
          <t>2026 run rate with assumed 5% utility escalation</t>
        </is>
      </c>
    </row>
    <row r="22">
      <c r="A22" s="2" t="inlineStr">
        <is>
          <t>Utilities</t>
        </is>
      </c>
      <c r="B22" s="2" t="inlineStr">
        <is>
          <t>64000</t>
        </is>
      </c>
      <c r="C22" s="2" t="inlineStr">
        <is>
          <t>Cable/Internet</t>
        </is>
      </c>
      <c r="D22" s="22" t="n">
        <v>1800</v>
      </c>
      <c r="E22" s="22" t="n">
        <v>0</v>
      </c>
      <c r="F22" s="23">
        <f>ROUND(0*(1+Assumptions!$B$17),0)</f>
        <v/>
      </c>
      <c r="G22" s="22">
        <f>F22-D22</f>
        <v/>
      </c>
      <c r="H22" s="2" t="inlineStr">
        <is>
          <t>2026 run rate with assumed 5% utility escalation</t>
        </is>
      </c>
    </row>
    <row r="23">
      <c r="A23" t="inlineStr">
        <is>
          <t>Utilities</t>
        </is>
      </c>
      <c r="B23" t="inlineStr">
        <is>
          <t>65000</t>
        </is>
      </c>
      <c r="C23" t="inlineStr">
        <is>
          <t>Trash</t>
        </is>
      </c>
      <c r="D23" s="24" t="n">
        <v>34000</v>
      </c>
      <c r="E23" s="24" t="n">
        <v>29503.28</v>
      </c>
      <c r="F23" s="25">
        <f>ROUND(39000*(1+Assumptions!$B$17),0)</f>
        <v/>
      </c>
      <c r="G23" s="24">
        <f>F23-D23</f>
        <v/>
      </c>
      <c r="H23" t="inlineStr">
        <is>
          <t>2026 run rate with assumed 5% utility escalation</t>
        </is>
      </c>
    </row>
    <row r="24">
      <c r="A24" s="2" t="inlineStr">
        <is>
          <t>General maintenance</t>
        </is>
      </c>
      <c r="B24" s="2" t="inlineStr">
        <is>
          <t>70105</t>
        </is>
      </c>
      <c r="C24" s="2" t="inlineStr">
        <is>
          <t>Backflow</t>
        </is>
      </c>
      <c r="D24" s="22" t="n">
        <v>872</v>
      </c>
      <c r="E24" s="22" t="n">
        <v>0</v>
      </c>
      <c r="F24" s="23">
        <f>ROUND(900*(1+Assumptions!$B$16),0)</f>
        <v/>
      </c>
      <c r="G24" s="22">
        <f>F24-D24</f>
        <v/>
      </c>
      <c r="H24" s="2" t="inlineStr">
        <is>
          <t>2026 current vendor budget/run rate, 3% planning inflation</t>
        </is>
      </c>
    </row>
    <row r="25">
      <c r="A25" t="inlineStr">
        <is>
          <t>General maintenance</t>
        </is>
      </c>
      <c r="B25" t="inlineStr">
        <is>
          <t>71030</t>
        </is>
      </c>
      <c r="C25" t="inlineStr">
        <is>
          <t>Common-area repairs</t>
        </is>
      </c>
      <c r="D25" s="24" t="n">
        <v>2730</v>
      </c>
      <c r="E25" s="24" t="n">
        <v>1882.7</v>
      </c>
      <c r="F25" s="25">
        <f>ROUND(3000*(1+Assumptions!$B$16),0)</f>
        <v/>
      </c>
      <c r="G25" s="24">
        <f>F25-D25</f>
        <v/>
      </c>
      <c r="H25" t="inlineStr">
        <is>
          <t>2026 current vendor budget/run rate, 3% planning inflation</t>
        </is>
      </c>
    </row>
    <row r="26">
      <c r="A26" s="2" t="inlineStr">
        <is>
          <t>General maintenance</t>
        </is>
      </c>
      <c r="B26" s="2" t="inlineStr">
        <is>
          <t>71040</t>
        </is>
      </c>
      <c r="C26" s="2" t="inlineStr">
        <is>
          <t>Concrete repairs</t>
        </is>
      </c>
      <c r="D26" s="22" t="n">
        <v>2060</v>
      </c>
      <c r="E26" s="22" t="n">
        <v>0</v>
      </c>
      <c r="F26" s="23">
        <f>ROUND(1500*(1+Assumptions!$B$16),0)</f>
        <v/>
      </c>
      <c r="G26" s="22">
        <f>F26-D26</f>
        <v/>
      </c>
      <c r="H26" s="2" t="inlineStr">
        <is>
          <t>2026 current vendor budget/run rate, 3% planning inflation</t>
        </is>
      </c>
    </row>
    <row r="27">
      <c r="A27" t="inlineStr">
        <is>
          <t>General maintenance</t>
        </is>
      </c>
      <c r="B27" t="inlineStr">
        <is>
          <t>71525</t>
        </is>
      </c>
      <c r="C27" t="inlineStr">
        <is>
          <t>Entry gate maintenance</t>
        </is>
      </c>
      <c r="D27" s="24" t="n">
        <v>1000</v>
      </c>
      <c r="E27" s="24" t="n">
        <v>2345</v>
      </c>
      <c r="F27" s="25">
        <f>ROUND(2500*(1+Assumptions!$B$16),0)</f>
        <v/>
      </c>
      <c r="G27" s="24">
        <f>F27-D27</f>
        <v/>
      </c>
      <c r="H27" t="inlineStr">
        <is>
          <t>2026 current vendor budget/run rate, 3% planning inflation</t>
        </is>
      </c>
    </row>
    <row r="28">
      <c r="A28" s="2" t="inlineStr">
        <is>
          <t>General maintenance</t>
        </is>
      </c>
      <c r="B28" s="2" t="inlineStr">
        <is>
          <t>73010</t>
        </is>
      </c>
      <c r="C28" s="2" t="inlineStr">
        <is>
          <t>Gate maintenance/repairs</t>
        </is>
      </c>
      <c r="D28" s="22" t="n">
        <v>2400</v>
      </c>
      <c r="E28" s="22" t="n">
        <v>6025</v>
      </c>
      <c r="F28" s="23">
        <f>ROUND(4500*(1+Assumptions!$B$16),0)</f>
        <v/>
      </c>
      <c r="G28" s="22">
        <f>F28-D28</f>
        <v/>
      </c>
      <c r="H28" s="2" t="inlineStr">
        <is>
          <t>2026 current vendor budget/run rate, 3% planning inflation</t>
        </is>
      </c>
    </row>
    <row r="29">
      <c r="A29" t="inlineStr">
        <is>
          <t>General maintenance</t>
        </is>
      </c>
      <c r="B29" t="inlineStr">
        <is>
          <t>73065</t>
        </is>
      </c>
      <c r="C29" t="inlineStr">
        <is>
          <t>Pool locks</t>
        </is>
      </c>
      <c r="D29" s="24" t="n">
        <v>600</v>
      </c>
      <c r="E29" s="24" t="n">
        <v>600</v>
      </c>
      <c r="F29" s="25">
        <f>ROUND(300*(1+Assumptions!$B$16),0)</f>
        <v/>
      </c>
      <c r="G29" s="24">
        <f>F29-D29</f>
        <v/>
      </c>
      <c r="H29" t="inlineStr">
        <is>
          <t>2026 current vendor budget/run rate, 3% planning inflation</t>
        </is>
      </c>
    </row>
    <row r="30">
      <c r="A30" s="2" t="inlineStr">
        <is>
          <t>General maintenance</t>
        </is>
      </c>
      <c r="B30" s="2" t="inlineStr">
        <is>
          <t>74155</t>
        </is>
      </c>
      <c r="C30" s="2" t="inlineStr">
        <is>
          <t>Intercom</t>
        </is>
      </c>
      <c r="D30" s="22" t="n">
        <v>1000</v>
      </c>
      <c r="E30" s="22" t="n">
        <v>1006.1</v>
      </c>
      <c r="F30" s="23">
        <f>ROUND(1350*(1+Assumptions!$B$16),0)</f>
        <v/>
      </c>
      <c r="G30" s="22">
        <f>F30-D30</f>
        <v/>
      </c>
      <c r="H30" s="2" t="inlineStr">
        <is>
          <t>2026 current vendor budget/run rate, 3% planning inflation</t>
        </is>
      </c>
    </row>
    <row r="31">
      <c r="A31" t="inlineStr">
        <is>
          <t>General maintenance</t>
        </is>
      </c>
      <c r="B31" t="inlineStr">
        <is>
          <t>74170</t>
        </is>
      </c>
      <c r="C31" t="inlineStr">
        <is>
          <t>Lighting repairs</t>
        </is>
      </c>
      <c r="D31" s="24" t="n">
        <v>2500</v>
      </c>
      <c r="E31" s="24" t="n">
        <v>10810</v>
      </c>
      <c r="F31" s="25">
        <f>ROUND(4000*(1+Assumptions!$B$16),0)</f>
        <v/>
      </c>
      <c r="G31" s="24">
        <f>F31-D31</f>
        <v/>
      </c>
      <c r="H31" t="inlineStr">
        <is>
          <t>2026 current vendor budget/run rate, 3% planning inflation</t>
        </is>
      </c>
    </row>
    <row r="32">
      <c r="A32" s="2" t="inlineStr">
        <is>
          <t>General maintenance</t>
        </is>
      </c>
      <c r="B32" s="2" t="inlineStr">
        <is>
          <t>74185</t>
        </is>
      </c>
      <c r="C32" s="2" t="inlineStr">
        <is>
          <t>Painting</t>
        </is>
      </c>
      <c r="D32" s="22" t="n">
        <v>0</v>
      </c>
      <c r="E32" s="22" t="n">
        <v>1650</v>
      </c>
      <c r="F32" s="23">
        <f>ROUND(1200*(1+Assumptions!$B$16),0)</f>
        <v/>
      </c>
      <c r="G32" s="22">
        <f>F32-D32</f>
        <v/>
      </c>
      <c r="H32" s="2" t="inlineStr">
        <is>
          <t>2026 current vendor budget/run rate, 3% planning inflation</t>
        </is>
      </c>
    </row>
    <row r="33">
      <c r="A33" t="inlineStr">
        <is>
          <t>General maintenance</t>
        </is>
      </c>
      <c r="B33" t="inlineStr">
        <is>
          <t>75100</t>
        </is>
      </c>
      <c r="C33" t="inlineStr">
        <is>
          <t>Pest and gopher</t>
        </is>
      </c>
      <c r="D33" s="24" t="n">
        <v>9000</v>
      </c>
      <c r="E33" s="24" t="n">
        <v>6912</v>
      </c>
      <c r="F33" s="25">
        <f>ROUND(9216*(1+Assumptions!$B$16),0)</f>
        <v/>
      </c>
      <c r="G33" s="24">
        <f>F33-D33</f>
        <v/>
      </c>
      <c r="H33" t="inlineStr">
        <is>
          <t>2026 current vendor budget/run rate, 3% planning inflation</t>
        </is>
      </c>
    </row>
    <row r="34">
      <c r="A34" s="2" t="inlineStr">
        <is>
          <t>General maintenance</t>
        </is>
      </c>
      <c r="B34" s="2" t="inlineStr">
        <is>
          <t>75110</t>
        </is>
      </c>
      <c r="C34" s="2" t="inlineStr">
        <is>
          <t>Termite treatment</t>
        </is>
      </c>
      <c r="D34" s="22" t="n">
        <v>1000</v>
      </c>
      <c r="E34" s="22" t="n">
        <v>440</v>
      </c>
      <c r="F34" s="23">
        <f>ROUND(1000*(1+Assumptions!$B$16),0)</f>
        <v/>
      </c>
      <c r="G34" s="22">
        <f>F34-D34</f>
        <v/>
      </c>
      <c r="H34" s="2" t="inlineStr">
        <is>
          <t>2026 current vendor budget/run rate, 3% planning inflation</t>
        </is>
      </c>
    </row>
    <row r="35">
      <c r="A35" t="inlineStr">
        <is>
          <t>General maintenance</t>
        </is>
      </c>
      <c r="B35" t="inlineStr">
        <is>
          <t>75115</t>
        </is>
      </c>
      <c r="C35" t="inlineStr">
        <is>
          <t>Rodent</t>
        </is>
      </c>
      <c r="D35" s="24" t="n">
        <v>1000</v>
      </c>
      <c r="E35" s="24" t="n">
        <v>0</v>
      </c>
      <c r="F35" s="25">
        <f>ROUND(0*(1+Assumptions!$B$16),0)</f>
        <v/>
      </c>
      <c r="G35" s="24">
        <f>F35-D35</f>
        <v/>
      </c>
      <c r="H35" t="inlineStr">
        <is>
          <t>2026 current vendor budget/run rate, 3% planning inflation</t>
        </is>
      </c>
    </row>
    <row r="36">
      <c r="A36" s="2" t="inlineStr">
        <is>
          <t>General maintenance</t>
        </is>
      </c>
      <c r="B36" s="2" t="inlineStr">
        <is>
          <t>75130</t>
        </is>
      </c>
      <c r="C36" s="2" t="inlineStr">
        <is>
          <t>Plumbing</t>
        </is>
      </c>
      <c r="D36" s="22" t="n">
        <v>1500</v>
      </c>
      <c r="E36" s="22" t="n">
        <v>0</v>
      </c>
      <c r="F36" s="23">
        <f>ROUND(1500*(1+Assumptions!$B$16),0)</f>
        <v/>
      </c>
      <c r="G36" s="22">
        <f>F36-D36</f>
        <v/>
      </c>
      <c r="H36" s="2" t="inlineStr">
        <is>
          <t>2026 current vendor budget/run rate, 3% planning inflation</t>
        </is>
      </c>
    </row>
    <row r="37">
      <c r="A37" t="inlineStr">
        <is>
          <t>General maintenance</t>
        </is>
      </c>
      <c r="B37" t="inlineStr">
        <is>
          <t>75230</t>
        </is>
      </c>
      <c r="C37" t="inlineStr">
        <is>
          <t>Roof/gutter operating repairs</t>
        </is>
      </c>
      <c r="D37" s="24" t="n">
        <v>10000</v>
      </c>
      <c r="E37" s="24" t="n">
        <v>3990</v>
      </c>
      <c r="F37" s="25">
        <f>ROUND(2500*(1+Assumptions!$B$16),0)</f>
        <v/>
      </c>
      <c r="G37" s="24">
        <f>F37-D37</f>
        <v/>
      </c>
      <c r="H37" t="inlineStr">
        <is>
          <t>2026 current vendor budget/run rate, 3% planning inflation</t>
        </is>
      </c>
    </row>
    <row r="38">
      <c r="A38" s="2" t="inlineStr">
        <is>
          <t>General maintenance</t>
        </is>
      </c>
      <c r="B38" s="2" t="inlineStr">
        <is>
          <t>75290</t>
        </is>
      </c>
      <c r="C38" s="2" t="inlineStr">
        <is>
          <t>Signs</t>
        </is>
      </c>
      <c r="D38" s="22" t="n">
        <v>1000</v>
      </c>
      <c r="E38" s="22" t="n">
        <v>830.4400000000001</v>
      </c>
      <c r="F38" s="23">
        <f>ROUND(300*(1+Assumptions!$B$16),0)</f>
        <v/>
      </c>
      <c r="G38" s="22">
        <f>F38-D38</f>
        <v/>
      </c>
      <c r="H38" s="2" t="inlineStr">
        <is>
          <t>2026 current vendor budget/run rate, 3% planning inflation</t>
        </is>
      </c>
    </row>
    <row r="39">
      <c r="A39" t="inlineStr">
        <is>
          <t>General maintenance</t>
        </is>
      </c>
      <c r="B39" t="inlineStr">
        <is>
          <t>75380</t>
        </is>
      </c>
      <c r="C39" t="inlineStr">
        <is>
          <t>Walkway/driveway</t>
        </is>
      </c>
      <c r="D39" s="24" t="n">
        <v>0</v>
      </c>
      <c r="E39" s="24" t="n">
        <v>250</v>
      </c>
      <c r="F39" s="25">
        <f>ROUND(500*(1+Assumptions!$B$16),0)</f>
        <v/>
      </c>
      <c r="G39" s="24">
        <f>F39-D39</f>
        <v/>
      </c>
      <c r="H39" t="inlineStr">
        <is>
          <t>2026 current vendor budget/run rate, 3% planning inflation</t>
        </is>
      </c>
    </row>
    <row r="40">
      <c r="A40" s="2" t="inlineStr">
        <is>
          <t>General maintenance</t>
        </is>
      </c>
      <c r="B40" s="2" t="inlineStr">
        <is>
          <t>82000</t>
        </is>
      </c>
      <c r="C40" s="2" t="inlineStr">
        <is>
          <t>Janitorial</t>
        </is>
      </c>
      <c r="D40" s="22" t="n">
        <v>4800</v>
      </c>
      <c r="E40" s="22" t="n">
        <v>3600</v>
      </c>
      <c r="F40" s="23">
        <f>ROUND(4800*(1+Assumptions!$B$16),0)</f>
        <v/>
      </c>
      <c r="G40" s="22">
        <f>F40-D40</f>
        <v/>
      </c>
      <c r="H40" s="2" t="inlineStr">
        <is>
          <t>2026 current vendor budget/run rate, 3% planning inflation</t>
        </is>
      </c>
    </row>
    <row r="41">
      <c r="A41" t="inlineStr">
        <is>
          <t>General maintenance</t>
        </is>
      </c>
      <c r="B41" t="inlineStr">
        <is>
          <t>83521</t>
        </is>
      </c>
      <c r="C41" t="inlineStr">
        <is>
          <t>Health permit</t>
        </is>
      </c>
      <c r="D41" s="24" t="n">
        <v>673</v>
      </c>
      <c r="E41" s="24" t="n">
        <v>0</v>
      </c>
      <c r="F41" s="25">
        <f>ROUND(675*(1+Assumptions!$B$16),0)</f>
        <v/>
      </c>
      <c r="G41" s="24">
        <f>F41-D41</f>
        <v/>
      </c>
      <c r="H41" t="inlineStr">
        <is>
          <t>2026 current vendor budget/run rate, 3% planning inflation</t>
        </is>
      </c>
    </row>
    <row r="42">
      <c r="A42" s="2" t="inlineStr">
        <is>
          <t>Landscape</t>
        </is>
      </c>
      <c r="B42" s="2" t="inlineStr">
        <is>
          <t>80000</t>
        </is>
      </c>
      <c r="C42" s="2" t="inlineStr">
        <is>
          <t>Landscape monthly contract</t>
        </is>
      </c>
      <c r="D42" s="22" t="n">
        <v>81600</v>
      </c>
      <c r="E42" s="22" t="n">
        <v>61200</v>
      </c>
      <c r="F42" s="23">
        <f>ROUND(81600*(1+Assumptions!$B$16),0)</f>
        <v/>
      </c>
      <c r="G42" s="22">
        <f>F42-D42</f>
        <v/>
      </c>
      <c r="H42" s="2" t="inlineStr">
        <is>
          <t>2026 current vendor budget/run rate, 3% planning inflation</t>
        </is>
      </c>
    </row>
    <row r="43">
      <c r="A43" t="inlineStr">
        <is>
          <t>Landscape</t>
        </is>
      </c>
      <c r="B43" t="inlineStr">
        <is>
          <t>80090</t>
        </is>
      </c>
      <c r="C43" t="inlineStr">
        <is>
          <t>Irrigation repairs</t>
        </is>
      </c>
      <c r="D43" s="24" t="n">
        <v>3000</v>
      </c>
      <c r="E43" s="24" t="n">
        <v>750</v>
      </c>
      <c r="F43" s="25">
        <f>ROUND(3000*(1+Assumptions!$B$16),0)</f>
        <v/>
      </c>
      <c r="G43" s="24">
        <f>F43-D43</f>
        <v/>
      </c>
      <c r="H43" t="inlineStr">
        <is>
          <t>2026 current vendor budget/run rate, 3% planning inflation</t>
        </is>
      </c>
    </row>
    <row r="44">
      <c r="A44" s="2" t="inlineStr">
        <is>
          <t>Landscape</t>
        </is>
      </c>
      <c r="B44" s="2" t="inlineStr">
        <is>
          <t>80100</t>
        </is>
      </c>
      <c r="C44" s="2" t="inlineStr">
        <is>
          <t>Landscape miscellaneous</t>
        </is>
      </c>
      <c r="D44" s="22" t="n">
        <v>3000</v>
      </c>
      <c r="E44" s="22" t="n">
        <v>6600</v>
      </c>
      <c r="F44" s="23">
        <f>ROUND(3500*(1+Assumptions!$B$16),0)</f>
        <v/>
      </c>
      <c r="G44" s="22">
        <f>F44-D44</f>
        <v/>
      </c>
      <c r="H44" s="2" t="inlineStr">
        <is>
          <t>2026 current vendor budget/run rate, 3% planning inflation</t>
        </is>
      </c>
    </row>
    <row r="45">
      <c r="A45" t="inlineStr">
        <is>
          <t>Landscape</t>
        </is>
      </c>
      <c r="B45" t="inlineStr">
        <is>
          <t>80190</t>
        </is>
      </c>
      <c r="C45" t="inlineStr">
        <is>
          <t>Tree trimming</t>
        </is>
      </c>
      <c r="D45" s="24" t="n">
        <v>18000</v>
      </c>
      <c r="E45" s="24" t="n">
        <v>27700</v>
      </c>
      <c r="F45" s="25">
        <f>ROUND(12000*(1+Assumptions!$B$16),0)</f>
        <v/>
      </c>
      <c r="G45" s="24">
        <f>F45-D45</f>
        <v/>
      </c>
      <c r="H45" t="inlineStr">
        <is>
          <t>2026 current vendor budget/run rate, 3% planning inflation</t>
        </is>
      </c>
    </row>
    <row r="46">
      <c r="A46" s="2" t="inlineStr">
        <is>
          <t>Pool/spa</t>
        </is>
      </c>
      <c r="B46" s="2" t="inlineStr">
        <is>
          <t>81000</t>
        </is>
      </c>
      <c r="C46" s="2" t="inlineStr">
        <is>
          <t>Pool/spa upkeep</t>
        </is>
      </c>
      <c r="D46" s="22" t="n">
        <v>9440</v>
      </c>
      <c r="E46" s="22" t="n">
        <v>10345.11</v>
      </c>
      <c r="F46" s="23">
        <f>ROUND(12000*(1+Assumptions!$B$16),0)</f>
        <v/>
      </c>
      <c r="G46" s="22">
        <f>F46-D46</f>
        <v/>
      </c>
      <c r="H46" s="2" t="inlineStr">
        <is>
          <t>2026 current vendor budget/run rate, 3% planning inflation</t>
        </is>
      </c>
    </row>
    <row r="47">
      <c r="A47" t="inlineStr">
        <is>
          <t>Reserves</t>
        </is>
      </c>
      <c r="B47" t="inlineStr">
        <is>
          <t>90000</t>
        </is>
      </c>
      <c r="C47" t="inlineStr">
        <is>
          <t>Regular reserve contribution</t>
        </is>
      </c>
      <c r="D47" s="24" t="n">
        <v>192864</v>
      </c>
      <c r="E47" s="24" t="n">
        <v>144648</v>
      </c>
      <c r="F47" s="25">
        <f>Assumptions!B20</f>
        <v/>
      </c>
      <c r="G47" s="24">
        <f>F47-D47</f>
        <v/>
      </c>
      <c r="H47" t="inlineStr">
        <is>
          <t>2026 specialist proposed $120k/year WITH $2.5m financing; conditional $1.6m project scenario requires new reserve study.</t>
        </is>
      </c>
    </row>
    <row r="48">
      <c r="D48" s="24" t="n"/>
      <c r="E48" s="24" t="n"/>
      <c r="F48" s="24" t="n"/>
      <c r="G48" s="24" t="n"/>
    </row>
    <row r="49">
      <c r="A49" s="14" t="n"/>
      <c r="B49" s="14" t="n"/>
      <c r="C49" s="14" t="inlineStr">
        <is>
          <t>TOTAL EXCLUDING HELIX (CONDITIONAL $1.6M SCENARIO RESERVES)</t>
        </is>
      </c>
      <c r="D49" s="26">
        <f>SUM(D4:D47)</f>
        <v/>
      </c>
      <c r="E49" s="26">
        <f>SUM(E4:E47)</f>
        <v/>
      </c>
      <c r="F49" s="26">
        <f>SUM(F4:F47)</f>
        <v/>
      </c>
      <c r="G49" s="26">
        <f>SUM(G4:G47)</f>
        <v/>
      </c>
      <c r="H49" s="14" t="n"/>
    </row>
    <row r="50">
      <c r="A50" s="5" t="n"/>
      <c r="B50" s="5" t="n"/>
      <c r="C50" s="5" t="inlineStr">
        <is>
          <t>NORMALIZED MONTHLY DUES / UNIT</t>
        </is>
      </c>
      <c r="D50" s="27" t="n"/>
      <c r="E50" s="27" t="n"/>
      <c r="F50" s="28">
        <f>F49/(Assumptions!B2*12)</f>
        <v/>
      </c>
      <c r="G50" s="27" t="n"/>
      <c r="H50" s="5" t="n"/>
    </row>
    <row r="51">
      <c r="D51" s="24" t="n"/>
      <c r="E51" s="24" t="n"/>
      <c r="F51" s="24" t="n"/>
      <c r="G51" s="24" t="n"/>
    </row>
    <row r="52">
      <c r="C52" t="inlineStr">
        <is>
          <t>Helix excess policy (8% renewal buffer)</t>
        </is>
      </c>
      <c r="D52" s="24" t="n"/>
      <c r="E52" s="24" t="n"/>
      <c r="F52" s="24">
        <f>ROUND(Assumptions!B22*(1+Assumptions!B18),0)</f>
        <v/>
      </c>
      <c r="G52" s="24" t="n"/>
      <c r="H52" t="inlineStr">
        <is>
          <t>Helix excess coverage assumed $38,000 incremental to booked general premiums; verify with declarations and invoices.</t>
        </is>
      </c>
    </row>
    <row r="53">
      <c r="A53" s="14" t="n"/>
      <c r="B53" s="14" t="n"/>
      <c r="C53" s="14" t="inlineStr">
        <is>
          <t>TOTAL INCLUDING HELIX (CONDITIONAL $1.6M SCENARIO RESERVES)</t>
        </is>
      </c>
      <c r="D53" s="26" t="n"/>
      <c r="E53" s="26" t="n"/>
      <c r="F53" s="26">
        <f>F49+F52</f>
        <v/>
      </c>
      <c r="G53" s="26" t="n"/>
      <c r="H53" s="14" t="n"/>
    </row>
    <row r="54">
      <c r="A54" s="14" t="n"/>
      <c r="B54" s="14" t="n"/>
      <c r="C54" s="14" t="inlineStr">
        <is>
          <t>MONTHLY DUES / UNIT (CONDITIONAL $1.6M SCENARIO)</t>
        </is>
      </c>
      <c r="D54" s="26" t="n"/>
      <c r="E54" s="26" t="n"/>
      <c r="F54" s="29">
        <f>F53/(Assumptions!B2*12)</f>
        <v/>
      </c>
      <c r="G54" s="26" t="n"/>
      <c r="H54" s="14" t="n"/>
    </row>
    <row r="55">
      <c r="D55" s="24" t="n"/>
      <c r="E55" s="24" t="n"/>
      <c r="F55" s="24" t="n"/>
      <c r="G55" s="24" t="n"/>
    </row>
    <row r="56">
      <c r="C56" t="inlineStr">
        <is>
          <t>INCREASE IF EXISTING RESERVE CONTRIBUTION REMAINS</t>
        </is>
      </c>
      <c r="D56" s="24" t="n"/>
      <c r="E56" s="24" t="n"/>
      <c r="F56" s="24">
        <f>Assumptions!B21-Assumptions!B20</f>
        <v/>
      </c>
      <c r="G56" s="24" t="n"/>
      <c r="H56" t="inlineStr">
        <is>
          <t>Scenario, NOT recommended recurring baseline; board must disclose pending bills/coverage</t>
        </is>
      </c>
    </row>
    <row r="57">
      <c r="A57" s="14" t="n"/>
      <c r="B57" s="14" t="n"/>
      <c r="C57" s="14" t="inlineStr">
        <is>
          <t>MONTHLY DUES IF EXISTING RESERVE FUNDING REQUIRED</t>
        </is>
      </c>
      <c r="D57" s="26" t="n"/>
      <c r="E57" s="26" t="n"/>
      <c r="F57" s="29">
        <f>(F53+F56)/(Assumptions!B2*12)</f>
        <v/>
      </c>
      <c r="G57" s="26" t="n"/>
      <c r="H57" s="14" t="n"/>
    </row>
    <row r="58">
      <c r="D58" s="24" t="n"/>
      <c r="E58" s="24" t="n"/>
      <c r="F58" s="24" t="n"/>
      <c r="G58" s="24" t="n"/>
    </row>
    <row r="59">
      <c r="A59" s="14" t="n"/>
      <c r="B59" s="14" t="n"/>
      <c r="C59" s="14" t="inlineStr">
        <is>
          <t>WHOLE-DOLLAR DUES (CONDITIONAL RESERVE)</t>
        </is>
      </c>
      <c r="D59" s="26" t="n"/>
      <c r="E59" s="26" t="n"/>
      <c r="F59" s="26">
        <f>ROUNDUP(F54,0)</f>
        <v/>
      </c>
      <c r="G59" s="26" t="n"/>
      <c r="H59" s="14" t="inlineStr">
        <is>
          <t>Rounding upward avoids underfunding; no Master HOA or separate roofing assessment included.</t>
        </is>
      </c>
    </row>
    <row r="60">
      <c r="A60" s="8" t="n"/>
      <c r="B60" s="8" t="n"/>
      <c r="C60" s="8" t="inlineStr">
        <is>
          <t>ANNUAL COLLECTIONS CONDITIONAL</t>
        </is>
      </c>
      <c r="D60" s="30" t="n"/>
      <c r="E60" s="30" t="n"/>
      <c r="F60" s="30">
        <f>F59*Assumptions!B2*12</f>
        <v/>
      </c>
      <c r="G60" s="30" t="n"/>
      <c r="H60" s="8" t="n"/>
    </row>
    <row r="61">
      <c r="A61" s="8" t="n"/>
      <c r="B61" s="8" t="n"/>
      <c r="C61" s="8" t="inlineStr">
        <is>
          <t>SURPLUS CONDITIONAL</t>
        </is>
      </c>
      <c r="D61" s="30" t="n"/>
      <c r="E61" s="30" t="n"/>
      <c r="F61" s="30">
        <f>F60-F53</f>
        <v/>
      </c>
      <c r="G61" s="30" t="n"/>
      <c r="H61" s="8" t="n"/>
    </row>
    <row r="62">
      <c r="A62" s="14" t="n"/>
      <c r="B62" s="14" t="n"/>
      <c r="C62" s="14" t="inlineStr">
        <is>
          <t>WHOLE-DOLLAR DUES (EXISTING RESERVE FUNDING)</t>
        </is>
      </c>
      <c r="D62" s="26" t="n"/>
      <c r="E62" s="26" t="n"/>
      <c r="F62" s="26">
        <f>ROUNDUP(F57,0)</f>
        <v/>
      </c>
      <c r="G62" s="26" t="n"/>
      <c r="H62" s="14" t="n"/>
    </row>
    <row r="63">
      <c r="C63" t="inlineStr">
        <is>
          <t>ANNUAL COLLECTIONS (EXISTING RESERVES)</t>
        </is>
      </c>
      <c r="D63" s="24" t="n"/>
      <c r="E63" s="24" t="n"/>
      <c r="F63" s="24">
        <f>F62*Assumptions!B2*12</f>
        <v/>
      </c>
      <c r="G63" s="24" t="n"/>
    </row>
    <row r="64">
      <c r="C64" t="inlineStr">
        <is>
          <t>SURPLUS (EXISTING RESERVES)</t>
        </is>
      </c>
      <c r="D64" s="24" t="n"/>
      <c r="E64" s="24" t="n"/>
      <c r="F64" s="24">
        <f>F63-F53-F56</f>
        <v/>
      </c>
      <c r="G64" s="24" t="n"/>
    </row>
  </sheetData>
  <autoFilter ref="A3:H47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48" customWidth="1" min="1" max="1"/>
    <col width="115" customWidth="1" min="2" max="2"/>
  </cols>
  <sheetData>
    <row r="1">
      <c r="A1" s="7" t="inlineStr">
        <is>
          <t>CANTRICE COURT | MODEL ASSUMPTIONS</t>
        </is>
      </c>
    </row>
    <row r="2">
      <c r="A2" s="7" t="inlineStr">
        <is>
          <t>Units</t>
        </is>
      </c>
      <c r="B2" t="n">
        <v>98</v>
      </c>
    </row>
    <row r="3">
      <c r="A3" s="7" t="inlineStr">
        <is>
          <t>2026 regular Cantrice monthly dues (excludes $25 older assessment)</t>
        </is>
      </c>
      <c r="B3" t="n">
        <v>522</v>
      </c>
    </row>
    <row r="4">
      <c r="A4" s="7" t="inlineStr">
        <is>
          <t>2026 budgeted regular assessment revenue (98 x $522 x 12)</t>
        </is>
      </c>
      <c r="B4" t="n">
        <v>613872</v>
      </c>
    </row>
    <row r="5">
      <c r="A5" s="7" t="inlineStr">
        <is>
          <t>2026 operating YTD overspend</t>
        </is>
      </c>
      <c r="B5" t="n">
        <v>55525.54</v>
      </c>
    </row>
    <row r="6">
      <c r="A6" s="7" t="inlineStr">
        <is>
          <t>2026 reserve funding annual</t>
        </is>
      </c>
      <c r="B6" t="n">
        <v>192864</v>
      </c>
    </row>
    <row r="7">
      <c r="A7" s="7" t="inlineStr">
        <is>
          <t>Helix excess coverage provisional premium</t>
        </is>
      </c>
      <c r="B7" t="n">
        <v>38000</v>
      </c>
    </row>
    <row r="8">
      <c r="A8" s="7" t="inlineStr">
        <is>
          <t>Roof special assessment</t>
        </is>
      </c>
      <c r="B8" t="inlineStr">
        <is>
          <t>EXCLUDED from 2027 operating dues; new assessment loan installments separate</t>
        </is>
      </c>
    </row>
    <row r="9">
      <c r="A9" s="7" t="inlineStr">
        <is>
          <t>Master HOA assessment</t>
        </is>
      </c>
      <c r="B9" t="inlineStr">
        <is>
          <t>EXCLUDED; $138/mo reported separately</t>
        </is>
      </c>
    </row>
    <row r="10">
      <c r="A10" s="7" t="inlineStr">
        <is>
          <t>Legal</t>
        </is>
      </c>
      <c r="B10" t="inlineStr">
        <is>
          <t>2027 legal services $10,000 annual ordinary compliance/legal allowance; pending litigation and insurance defense exposure excluded.</t>
        </is>
      </c>
    </row>
    <row r="11">
      <c r="A11" s="7" t="inlineStr">
        <is>
          <t>Reserve</t>
        </is>
      </c>
      <c r="B11" t="inlineStr">
        <is>
          <t>Retained as approved, pending updated reserve study including roofing replacement and financing</t>
        </is>
      </c>
    </row>
    <row r="12">
      <c r="A12" s="7" t="inlineStr">
        <is>
          <t>Insurance</t>
        </is>
      </c>
      <c r="B12" t="inlineStr">
        <is>
          <t>General package at booked September expense annualized; Helix only scenario until independent confirmation</t>
        </is>
      </c>
    </row>
    <row r="13">
      <c r="A13" s="7" t="inlineStr">
        <is>
          <t>2026 source 1</t>
        </is>
      </c>
      <c r="B13" t="inlineStr">
        <is>
          <t>20260101 CC Budget.pdf, budget pages 7-8, reserve disclosure 13-16</t>
        </is>
      </c>
    </row>
    <row r="14">
      <c r="A14" s="7" t="inlineStr">
        <is>
          <t>2026 source 2</t>
        </is>
      </c>
      <c r="B14" t="inlineStr">
        <is>
          <t>4084408_09 Owner Financials(1).pdf, statements pp. 2-9, invoices pp. 10-12</t>
        </is>
      </c>
    </row>
    <row r="16">
      <c r="A16" t="inlineStr">
        <is>
          <t>Vendor/service escalation (assumed)</t>
        </is>
      </c>
      <c r="B16" s="31" t="n">
        <v>0.03</v>
      </c>
    </row>
    <row r="17">
      <c r="A17" t="inlineStr">
        <is>
          <t>Utilities escalation (assumed)</t>
        </is>
      </c>
      <c r="B17" s="31" t="n">
        <v>0.05</v>
      </c>
    </row>
    <row r="18">
      <c r="A18" t="inlineStr">
        <is>
          <t>Insurance renewal escalation (assumed)</t>
        </is>
      </c>
      <c r="B18" s="31" t="n">
        <v>0.08</v>
      </c>
    </row>
    <row r="19">
      <c r="A19" t="inlineStr">
        <is>
          <t>Other discretionary escalation (assumed)</t>
        </is>
      </c>
      <c r="B19" s="31" t="n">
        <v>0.03</v>
      </c>
    </row>
    <row r="20">
      <c r="A20" t="inlineStr">
        <is>
          <t>Scenario 2027 annual reserves (UNVERIFIED)</t>
        </is>
      </c>
      <c r="B20" s="32" t="n">
        <v>120000</v>
      </c>
    </row>
    <row r="21">
      <c r="A21" t="inlineStr">
        <is>
          <t>Conservative existing reserve contribution</t>
        </is>
      </c>
      <c r="B21" s="32" t="n">
        <v>192864</v>
      </c>
    </row>
    <row r="22">
      <c r="A22" t="inlineStr">
        <is>
          <t>Annual Helix base premium</t>
        </is>
      </c>
      <c r="B22" s="32" t="n">
        <v>38000</v>
      </c>
    </row>
    <row r="24">
      <c r="A24" t="inlineStr">
        <is>
          <t>Escalation rates are PLANNING assumptions, not insurer/vendor quotations.</t>
        </is>
      </c>
    </row>
    <row r="25">
      <c r="A25" t="inlineStr">
        <is>
          <t>Post-roof $120,000 annual reserve funding is conditional; 2026 specialist assumed $2.5m separate financing.</t>
        </is>
      </c>
    </row>
    <row r="26">
      <c r="A26" t="inlineStr">
        <is>
          <t>Roofing special assessment and borrowing costs are excluded from operating dues.</t>
        </is>
      </c>
    </row>
    <row r="27">
      <c r="A27" t="inlineStr">
        <is>
          <t>CBO 2026 outlook PCE 2027 inflation 2.3%; model uses higher buffers for insurance/utilities.</t>
        </is>
      </c>
      <c r="B27" t="inlineStr">
        <is>
          <t>https://www.cbo.gov/publication/62105</t>
        </is>
      </c>
    </row>
    <row r="28">
      <c r="A28" t="inlineStr">
        <is>
          <t>California Department of Insurance market context</t>
        </is>
      </c>
      <c r="B28" t="inlineStr">
        <is>
          <t>https://www.insurance.ca.gov/01-consumers/180-climate-change/Sustainable-Insurance-Strategy.cfm</t>
        </is>
      </c>
    </row>
    <row r="29">
      <c r="A29" t="inlineStr">
        <is>
          <t>Finance base</t>
        </is>
      </c>
      <c r="B29" t="inlineStr">
        <is>
          <t>4084408_09 Owner Financials(1).pdf pp.3-5, 2026 Jan-Sep actual; 20260101 CC Budget.pdf pp.7-8, 13-16</t>
        </is>
      </c>
    </row>
    <row r="30">
      <c r="A30" t="inlineStr">
        <is>
          <t>Conditional targeted assessment</t>
        </is>
      </c>
      <c r="B30" s="33" t="n">
        <v>1600000</v>
      </c>
    </row>
    <row r="31">
      <c r="A31" t="inlineStr">
        <is>
          <t>Approved special assessment</t>
        </is>
      </c>
      <c r="B31" s="33" t="n">
        <v>1999999.6</v>
      </c>
    </row>
    <row r="32">
      <c r="A32" t="inlineStr">
        <is>
          <t>Illustrative roofing contract (unverified copy)</t>
        </is>
      </c>
      <c r="B32" s="33" t="n">
        <v>1400000</v>
      </c>
    </row>
    <row r="33">
      <c r="A33" t="inlineStr">
        <is>
          <t>Study assumed one-time capital financing</t>
        </is>
      </c>
      <c r="B33" s="33" t="n">
        <v>2500000</v>
      </c>
    </row>
    <row r="34">
      <c r="A34" t="inlineStr">
        <is>
          <t>Special assessment revision status</t>
        </is>
      </c>
      <c r="B34" t="inlineStr">
        <is>
          <t>PROPOSAL ONLY - $2m assessment approved; $1.6m not approved.</t>
        </is>
      </c>
    </row>
    <row r="35">
      <c r="A35" t="inlineStr">
        <is>
          <t>Study sufficiency warning</t>
        </is>
      </c>
      <c r="B35" t="inlineStr">
        <is>
          <t>Study $120k annual assumed $2.5m infusion; a $1.6m infusion is $900k smaller.</t>
        </is>
      </c>
    </row>
    <row r="36">
      <c r="A36" t="inlineStr">
        <is>
          <t>Roofing/assessment risk</t>
        </is>
      </c>
      <c r="B36" t="inlineStr">
        <is>
          <t>Verify actual roofing contract, soft costs, loan interest and board disclosures; assessment not operating revenue.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7" customWidth="1" min="1" max="1"/>
    <col width="115" customWidth="1" min="2" max="2"/>
  </cols>
  <sheetData>
    <row r="1">
      <c r="A1" s="34" t="inlineStr">
        <is>
          <t>CANTRICE COURT | CAPITAL ASSESSMENT COMPARISON</t>
        </is>
      </c>
      <c r="B1" s="34" t="inlineStr"/>
    </row>
    <row r="2">
      <c r="A2" s="35" t="inlineStr">
        <is>
          <t>Measure</t>
        </is>
      </c>
      <c r="B2" s="35" t="inlineStr">
        <is>
          <t>Amount / conclusion</t>
        </is>
      </c>
    </row>
    <row r="3">
      <c r="A3" t="inlineStr">
        <is>
          <t>Units</t>
        </is>
      </c>
      <c r="B3" s="36">
        <f>Assumptions!B2</f>
        <v/>
      </c>
    </row>
    <row r="4">
      <c r="A4" t="inlineStr">
        <is>
          <t>Approved special assessment</t>
        </is>
      </c>
      <c r="B4" s="37">
        <f>Assumptions!B31</f>
        <v/>
      </c>
    </row>
    <row r="5">
      <c r="A5" t="inlineStr">
        <is>
          <t>Proposed final assessment</t>
        </is>
      </c>
      <c r="B5" s="37">
        <f>Assumptions!B30</f>
        <v/>
      </c>
    </row>
    <row r="6">
      <c r="A6" s="38" t="inlineStr">
        <is>
          <t>Potential assessment reduction</t>
        </is>
      </c>
      <c r="B6" s="39">
        <f>B4-B5</f>
        <v/>
      </c>
    </row>
    <row r="7">
      <c r="A7" s="38" t="inlineStr">
        <is>
          <t>Potential reduction per unit</t>
        </is>
      </c>
      <c r="B7" s="39">
        <f>B6/B3</f>
        <v/>
      </c>
    </row>
    <row r="8">
      <c r="A8" t="inlineStr">
        <is>
          <t>Proposed roofing contract figure</t>
        </is>
      </c>
      <c r="B8" s="37">
        <f>Assumptions!B32</f>
        <v/>
      </c>
    </row>
    <row r="9">
      <c r="A9" t="inlineStr">
        <is>
          <t>Potential gross balance above contract</t>
        </is>
      </c>
      <c r="B9" s="37">
        <f>B5-B8</f>
        <v/>
      </c>
    </row>
    <row r="10">
      <c r="A10" t="inlineStr">
        <is>
          <t>2026 study capital infusion assumption</t>
        </is>
      </c>
      <c r="B10" s="37">
        <f>Assumptions!B33</f>
        <v/>
      </c>
    </row>
    <row r="11">
      <c r="A11" s="38" t="inlineStr">
        <is>
          <t>Gap between study scenario and proposed assessment</t>
        </is>
      </c>
      <c r="B11" s="39">
        <f>B10-B5</f>
        <v/>
      </c>
    </row>
    <row r="12">
      <c r="A12" t="inlineStr">
        <is>
          <t>2026 reserve specialist annual recommended amount</t>
        </is>
      </c>
      <c r="B12" s="37" t="n">
        <v>120000</v>
      </c>
    </row>
    <row r="13">
      <c r="A13" t="inlineStr">
        <is>
          <t>Provisional model 2027 reserve annual</t>
        </is>
      </c>
      <c r="B13" s="37">
        <f>Assumptions!B20</f>
        <v/>
      </c>
    </row>
    <row r="14">
      <c r="A14" t="inlineStr">
        <is>
          <t>Annual reserve shortfall vs 2026 adopted funding</t>
        </is>
      </c>
      <c r="B14" s="37">
        <f>Assumptions!B6-B13</f>
        <v/>
      </c>
    </row>
    <row r="15">
      <c r="A15" s="38" t="inlineStr">
        <is>
          <t>2027 dues exact (conditional)</t>
        </is>
      </c>
      <c r="B15" s="39">
        <f>'2027 Detail'!F54</f>
        <v/>
      </c>
    </row>
    <row r="16">
      <c r="A16" s="38" t="inlineStr">
        <is>
          <t>2027 dues rounded (conditional)</t>
        </is>
      </c>
      <c r="B16" s="39">
        <f>'2027 Detail'!F59</f>
        <v/>
      </c>
    </row>
    <row r="17">
      <c r="A17" t="inlineStr">
        <is>
          <t>Existing 2026 dues</t>
        </is>
      </c>
      <c r="B17" s="37">
        <f>Assumptions!B3</f>
        <v/>
      </c>
    </row>
    <row r="18">
      <c r="A18" s="38" t="inlineStr">
        <is>
          <t>Monthly change vs 2026</t>
        </is>
      </c>
      <c r="B18" s="39">
        <f>B16-B17</f>
        <v/>
      </c>
    </row>
    <row r="19">
      <c r="A19" s="38" t="inlineStr">
        <is>
          <t>2027 dues with existing $192,864 reserve funding</t>
        </is>
      </c>
      <c r="B19" s="39">
        <f>'2027 Detail'!F62</f>
        <v/>
      </c>
    </row>
    <row r="20">
      <c r="A20" t="inlineStr">
        <is>
          <t>Status</t>
        </is>
      </c>
      <c r="B20" t="inlineStr">
        <is>
          <t>The $1.6m reduction is a request, not an adopted assessment.</t>
        </is>
      </c>
    </row>
    <row r="21">
      <c r="A21" t="inlineStr">
        <is>
          <t>Important</t>
        </is>
      </c>
      <c r="B21" t="inlineStr">
        <is>
          <t>The study did not validate $120k reserves with a $1.6m capital infusion.</t>
        </is>
      </c>
    </row>
    <row r="22">
      <c r="A22" t="inlineStr">
        <is>
          <t>Not included</t>
        </is>
      </c>
      <c r="B22" t="inlineStr">
        <is>
          <t>Master dues, assessment instalments, assessment loan interest, litigation beyond annual $10k allowance.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2026-10-10T04:16:26Z</dcterms:created>
  <dcterms:modified xmlns:dcterms="http://purl.org/dc/terms/" xmlns:xsi="http://www.w3.org/2001/XMLSchema-instance" xsi:type="dcterms:W3CDTF">2026-10-10T04:42:29Z</dcterms:modified>
</cp:coreProperties>
</file>